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or/Dropbox (Turn group account)/Verkeers Onderneming/Fietsregeling/Info Fiets en WKR/Leasefiets tool/"/>
    </mc:Choice>
  </mc:AlternateContent>
  <xr:revisionPtr revIDLastSave="0" documentId="8_{9698AFEF-2D83-8C48-B9B1-76F64934D38C}" xr6:coauthVersionLast="46" xr6:coauthVersionMax="46" xr10:uidLastSave="{00000000-0000-0000-0000-000000000000}"/>
  <bookViews>
    <workbookView xWindow="0" yWindow="500" windowWidth="28800" windowHeight="16520" xr2:uid="{ECC58374-9281-7D40-B710-82E06E4203D1}"/>
  </bookViews>
  <sheets>
    <sheet name="Berekening investering lease" sheetId="1" r:id="rId1"/>
    <sheet name="grafiek berekening" sheetId="5" state="hidden" r:id="rId2"/>
  </sheets>
  <definedNames>
    <definedName name="_xlnm.Print_Area" localSheetId="0">'Berekening investering lease'!$A$1:$F$44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19" i="1" l="1"/>
  <c r="B39" i="1" s="1"/>
  <c r="B20" i="1"/>
  <c r="B18" i="1" l="1"/>
  <c r="B26" i="1" l="1"/>
  <c r="E40" i="1" l="1"/>
  <c r="B40" i="1"/>
  <c r="E39" i="1"/>
  <c r="F1" i="5" l="1"/>
  <c r="F7" i="5" s="1"/>
  <c r="G5" i="5"/>
  <c r="I5" i="5" s="1"/>
  <c r="G4" i="5"/>
  <c r="I4" i="5" s="1"/>
  <c r="G3" i="5"/>
  <c r="I3" i="5" s="1"/>
  <c r="B36" i="1" l="1"/>
  <c r="E43" i="1" s="1"/>
  <c r="E42" i="1"/>
  <c r="E38" i="1"/>
  <c r="E37" i="1"/>
  <c r="E36" i="1"/>
  <c r="C3" i="5"/>
  <c r="B28" i="1" l="1"/>
  <c r="B38" i="1" l="1"/>
  <c r="B37" i="1"/>
  <c r="B41" i="1" s="1"/>
  <c r="B1" i="5" l="1"/>
  <c r="B26" i="5" s="1"/>
  <c r="C26" i="5" s="1"/>
  <c r="B30" i="5" l="1"/>
  <c r="C30" i="5" s="1"/>
  <c r="B22" i="5"/>
  <c r="C22" i="5" s="1"/>
  <c r="B25" i="5"/>
  <c r="C25" i="5" s="1"/>
  <c r="B23" i="5"/>
  <c r="C23" i="5" s="1"/>
  <c r="B6" i="5"/>
  <c r="C6" i="5" s="1"/>
  <c r="B5" i="5"/>
  <c r="C5" i="5" s="1"/>
  <c r="B37" i="5"/>
  <c r="C37" i="5" s="1"/>
  <c r="B21" i="5"/>
  <c r="C21" i="5" s="1"/>
  <c r="B18" i="5"/>
  <c r="C18" i="5" s="1"/>
  <c r="B28" i="5"/>
  <c r="C28" i="5" s="1"/>
  <c r="B35" i="5"/>
  <c r="C35" i="5" s="1"/>
  <c r="B29" i="5"/>
  <c r="C29" i="5" s="1"/>
  <c r="B19" i="5"/>
  <c r="C19" i="5" s="1"/>
  <c r="B8" i="5"/>
  <c r="C8" i="5" s="1"/>
  <c r="B7" i="5"/>
  <c r="C7" i="5" s="1"/>
  <c r="B10" i="5"/>
  <c r="C10" i="5" s="1"/>
  <c r="B9" i="5"/>
  <c r="C9" i="5" s="1"/>
  <c r="B13" i="5"/>
  <c r="C13" i="5" s="1"/>
  <c r="B34" i="5"/>
  <c r="C34" i="5" s="1"/>
  <c r="B12" i="5"/>
  <c r="C12" i="5" s="1"/>
  <c r="B11" i="5"/>
  <c r="C11" i="5" s="1"/>
  <c r="B38" i="5"/>
  <c r="C38" i="5" s="1"/>
  <c r="B17" i="5"/>
  <c r="C17" i="5" s="1"/>
  <c r="B15" i="5"/>
  <c r="C15" i="5" s="1"/>
  <c r="B36" i="5"/>
  <c r="C36" i="5" s="1"/>
  <c r="B31" i="5"/>
  <c r="C31" i="5" s="1"/>
  <c r="B33" i="5"/>
  <c r="C33" i="5" s="1"/>
  <c r="B24" i="5"/>
  <c r="C24" i="5" s="1"/>
  <c r="B4" i="5"/>
  <c r="C4" i="5" s="1"/>
  <c r="B16" i="5"/>
  <c r="C16" i="5" s="1"/>
  <c r="B14" i="5"/>
  <c r="C14" i="5" s="1"/>
  <c r="B27" i="5"/>
  <c r="C27" i="5" s="1"/>
  <c r="B20" i="5"/>
  <c r="C20" i="5" s="1"/>
  <c r="B32" i="5"/>
  <c r="C32" i="5" s="1"/>
</calcChain>
</file>

<file path=xl/sharedStrings.xml><?xml version="1.0" encoding="utf-8"?>
<sst xmlns="http://schemas.openxmlformats.org/spreadsheetml/2006/main" count="51" uniqueCount="48">
  <si>
    <t>Belastingschijven</t>
  </si>
  <si>
    <t>Belastbaar inkomen</t>
  </si>
  <si>
    <t>Percentage</t>
  </si>
  <si>
    <t>Vanaf € 68.508</t>
  </si>
  <si>
    <t>Jaarlijkse bijtelling</t>
  </si>
  <si>
    <t>Maandelijkse bijtelling</t>
  </si>
  <si>
    <t>Hoeveel dagen per week werkt u?</t>
  </si>
  <si>
    <t>Aantal maanden</t>
  </si>
  <si>
    <t>Hoeveel kilometer is uw woon-werkverkeer enkele reis?</t>
  </si>
  <si>
    <t>Gemiddeld aantal werkdagen per maand:</t>
  </si>
  <si>
    <t>Stap 1: Kilometervergoeding</t>
  </si>
  <si>
    <t>Stap 2: Bereken hier de bijtelling van uw fiets</t>
  </si>
  <si>
    <t>Aantal maanden waarna het voordeliger is om fiets zelf aan te schaffen</t>
  </si>
  <si>
    <t>Stap 3: Is een leasefiets financieel gunstig voor mij?</t>
  </si>
  <si>
    <t>Welke belastingschijf is op uw jaarinkomen van toepassing?</t>
  </si>
  <si>
    <t>t/m € 68.506</t>
  </si>
  <si>
    <t>Totale kosten fiets van de zaak per maand</t>
  </si>
  <si>
    <t>kosten fiets van de zaak</t>
  </si>
  <si>
    <t>Prijs van de fiets (inclusief BTW)</t>
  </si>
  <si>
    <t>fiets van de zaak</t>
  </si>
  <si>
    <t>Zelf kopen</t>
  </si>
  <si>
    <t xml:space="preserve">Voorbeeld: 
</t>
  </si>
  <si>
    <t>Woon-werk km enkele reis</t>
  </si>
  <si>
    <t># dagen werkweek</t>
  </si>
  <si>
    <t>Belastingtarief</t>
  </si>
  <si>
    <t>Aanschafwaarde fiets (incl. BTW)</t>
  </si>
  <si>
    <t>Reiskostenvergoeding per km</t>
  </si>
  <si>
    <t>Vul de oranje vlakken in</t>
  </si>
  <si>
    <t>Aanschaf van welke soort fiets?</t>
  </si>
  <si>
    <t>e-bike</t>
  </si>
  <si>
    <t>type</t>
  </si>
  <si>
    <t>onderhoud</t>
  </si>
  <si>
    <t>verzekering</t>
  </si>
  <si>
    <t>gewone fiets</t>
  </si>
  <si>
    <t>speedpedelec</t>
  </si>
  <si>
    <t>totaal</t>
  </si>
  <si>
    <t>Hoeveel dagen per week gaat u met de leasefiets naar het werk?</t>
  </si>
  <si>
    <t># aantal dagen op de leasefiets naar het werk</t>
  </si>
  <si>
    <r>
      <t xml:space="preserve">Disclaimer: De bijtellingsregeling fiets is ingegaan per </t>
    </r>
    <r>
      <rPr>
        <b/>
        <i/>
        <sz val="10"/>
        <color theme="1"/>
        <rFont val="Calibri"/>
        <family val="2"/>
        <scheme val="minor"/>
      </rPr>
      <t>2020</t>
    </r>
    <r>
      <rPr>
        <i/>
        <sz val="10"/>
        <color theme="1"/>
        <rFont val="Calibri"/>
        <family val="2"/>
        <scheme val="minor"/>
      </rPr>
      <t>. De berekening is puur indicatief en niet bedoeld om professioneel (financieel) advies te vervangen. U kunt geen rechten ontlenen aan de berekening.</t>
    </r>
  </si>
  <si>
    <t># dagen reiskosten per maand</t>
  </si>
  <si>
    <t xml:space="preserve">Hoe hoog is uw kilometervergoeding per kilometer? </t>
  </si>
  <si>
    <t>(0 invullen indien geen vergoeding)</t>
  </si>
  <si>
    <t xml:space="preserve">Kilometervergoeding per maand </t>
  </si>
  <si>
    <t>Maandelijkse kosten onderhoud en verzekering gemiddeld</t>
  </si>
  <si>
    <t>Bijtelling per maand</t>
  </si>
  <si>
    <t xml:space="preserve">Deel kilometervergoeding per maand  dat vervalt (met leasefiets) </t>
  </si>
  <si>
    <t>Kilometervergoeding per maand die uitbetaald werd voorafgaand aan de aanschaffing van de leasefiets</t>
  </si>
  <si>
    <t>Rekenvoorbeeld Leasefiets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</si>
</sst>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20"/>
      <color theme="9"/>
      <name val="Calibri"/>
      <family val="2"/>
      <scheme val="minor"/>
    </font>
    <font>
      <b/>
      <u val="singleAccounting"/>
      <sz val="12"/>
      <color theme="9"/>
      <name val="Calibri"/>
      <family val="2"/>
      <scheme val="minor"/>
    </font>
    <font>
      <u val="singleAccounting"/>
      <sz val="12"/>
      <color theme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6"/>
      <color theme="9"/>
      <name val="Calibri (Hoofdtekst)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0" xfId="0" applyFill="1" applyBorder="1"/>
    <xf numFmtId="0" fontId="2" fillId="2" borderId="0" xfId="0" applyFont="1" applyFill="1" applyBorder="1"/>
    <xf numFmtId="44" fontId="0" fillId="0" borderId="0" xfId="1" applyFont="1"/>
    <xf numFmtId="44" fontId="0" fillId="0" borderId="0" xfId="0" applyNumberFormat="1"/>
    <xf numFmtId="44" fontId="0" fillId="2" borderId="0" xfId="1" applyFont="1" applyFill="1" applyBorder="1"/>
    <xf numFmtId="0" fontId="4" fillId="2" borderId="0" xfId="0" applyFont="1" applyFill="1"/>
    <xf numFmtId="44" fontId="5" fillId="2" borderId="7" xfId="1" applyFont="1" applyFill="1" applyBorder="1" applyAlignment="1">
      <alignment horizontal="left"/>
    </xf>
    <xf numFmtId="0" fontId="0" fillId="2" borderId="0" xfId="0" applyFill="1" applyAlignment="1">
      <alignment wrapText="1"/>
    </xf>
    <xf numFmtId="44" fontId="0" fillId="2" borderId="0" xfId="0" applyNumberFormat="1" applyFill="1"/>
    <xf numFmtId="0" fontId="0" fillId="2" borderId="0" xfId="0" applyFont="1" applyFill="1"/>
    <xf numFmtId="164" fontId="5" fillId="2" borderId="0" xfId="0" applyNumberFormat="1" applyFont="1" applyFill="1" applyBorder="1"/>
    <xf numFmtId="10" fontId="7" fillId="3" borderId="5" xfId="2" applyNumberFormat="1" applyFont="1" applyFill="1" applyBorder="1"/>
    <xf numFmtId="0" fontId="10" fillId="2" borderId="0" xfId="0" applyFont="1" applyFill="1" applyAlignment="1">
      <alignment horizontal="left" wrapText="1"/>
    </xf>
    <xf numFmtId="0" fontId="7" fillId="3" borderId="5" xfId="0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top"/>
    </xf>
    <xf numFmtId="44" fontId="1" fillId="2" borderId="4" xfId="1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 wrapText="1"/>
    </xf>
    <xf numFmtId="0" fontId="0" fillId="2" borderId="4" xfId="0" applyFont="1" applyFill="1" applyBorder="1"/>
    <xf numFmtId="1" fontId="0" fillId="2" borderId="4" xfId="0" applyNumberFormat="1" applyFont="1" applyFill="1" applyBorder="1"/>
    <xf numFmtId="0" fontId="0" fillId="2" borderId="6" xfId="0" applyFont="1" applyFill="1" applyBorder="1"/>
    <xf numFmtId="44" fontId="0" fillId="2" borderId="3" xfId="0" applyNumberFormat="1" applyFill="1" applyBorder="1"/>
    <xf numFmtId="44" fontId="0" fillId="2" borderId="1" xfId="0" applyNumberFormat="1" applyFill="1" applyBorder="1"/>
    <xf numFmtId="165" fontId="0" fillId="2" borderId="1" xfId="3" applyNumberFormat="1" applyFont="1" applyFill="1" applyBorder="1"/>
    <xf numFmtId="10" fontId="0" fillId="2" borderId="1" xfId="0" applyNumberFormat="1" applyFill="1" applyBorder="1"/>
    <xf numFmtId="0" fontId="0" fillId="2" borderId="7" xfId="0" applyFill="1" applyBorder="1"/>
    <xf numFmtId="44" fontId="0" fillId="4" borderId="1" xfId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vertical="center"/>
    </xf>
    <xf numFmtId="10" fontId="0" fillId="4" borderId="1" xfId="2" applyNumberFormat="1" applyFont="1" applyFill="1" applyBorder="1" applyAlignment="1">
      <alignment vertical="center"/>
    </xf>
    <xf numFmtId="166" fontId="0" fillId="2" borderId="1" xfId="3" applyNumberFormat="1" applyFont="1" applyFill="1" applyBorder="1"/>
    <xf numFmtId="2" fontId="0" fillId="0" borderId="0" xfId="0" applyNumberFormat="1"/>
    <xf numFmtId="0" fontId="0" fillId="4" borderId="1" xfId="0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 vertical="center"/>
    </xf>
    <xf numFmtId="44" fontId="0" fillId="0" borderId="1" xfId="1" applyFont="1" applyFill="1" applyBorder="1" applyAlignment="1">
      <alignment horizontal="right" vertical="top"/>
    </xf>
    <xf numFmtId="0" fontId="0" fillId="2" borderId="8" xfId="0" applyFont="1" applyFill="1" applyBorder="1"/>
    <xf numFmtId="1" fontId="15" fillId="2" borderId="1" xfId="0" applyNumberFormat="1" applyFont="1" applyFill="1" applyBorder="1"/>
    <xf numFmtId="167" fontId="3" fillId="2" borderId="7" xfId="3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Komma" xfId="3" builtinId="3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b="1"/>
              <a:t>Lease fiets of zelf aanschaffen: "terugverdientijd berekend"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Totale kosten fiets van de zaak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'grafiek berekening'!$B$4:$B$38</c:f>
              <c:numCache>
                <c:formatCode>_("€"* #,##0.00_);_("€"* \(#,##0.00\);_("€"* "-"??_);_(@_)</c:formatCode>
                <c:ptCount val="35"/>
                <c:pt idx="0">
                  <c:v>51.624166666666667</c:v>
                </c:pt>
                <c:pt idx="1">
                  <c:v>103.24833333333333</c:v>
                </c:pt>
                <c:pt idx="2">
                  <c:v>154.8725</c:v>
                </c:pt>
                <c:pt idx="3">
                  <c:v>206.49666666666667</c:v>
                </c:pt>
                <c:pt idx="4">
                  <c:v>258.12083333333334</c:v>
                </c:pt>
                <c:pt idx="5">
                  <c:v>309.745</c:v>
                </c:pt>
                <c:pt idx="6">
                  <c:v>361.36916666666667</c:v>
                </c:pt>
                <c:pt idx="7">
                  <c:v>412.99333333333334</c:v>
                </c:pt>
                <c:pt idx="8">
                  <c:v>464.61750000000001</c:v>
                </c:pt>
                <c:pt idx="9">
                  <c:v>516.24166666666667</c:v>
                </c:pt>
                <c:pt idx="10">
                  <c:v>567.86583333333328</c:v>
                </c:pt>
                <c:pt idx="11">
                  <c:v>619.49</c:v>
                </c:pt>
                <c:pt idx="12">
                  <c:v>671.11416666666673</c:v>
                </c:pt>
                <c:pt idx="13">
                  <c:v>722.73833333333334</c:v>
                </c:pt>
                <c:pt idx="14">
                  <c:v>774.36249999999995</c:v>
                </c:pt>
                <c:pt idx="15">
                  <c:v>825.98666666666668</c:v>
                </c:pt>
                <c:pt idx="16">
                  <c:v>877.6108333333334</c:v>
                </c:pt>
                <c:pt idx="17">
                  <c:v>929.23500000000001</c:v>
                </c:pt>
                <c:pt idx="18">
                  <c:v>980.85916666666662</c:v>
                </c:pt>
                <c:pt idx="19">
                  <c:v>1032.4833333333333</c:v>
                </c:pt>
                <c:pt idx="20">
                  <c:v>1084.1075000000001</c:v>
                </c:pt>
                <c:pt idx="21">
                  <c:v>1135.7316666666666</c:v>
                </c:pt>
                <c:pt idx="22">
                  <c:v>1187.3558333333333</c:v>
                </c:pt>
                <c:pt idx="23">
                  <c:v>1238.98</c:v>
                </c:pt>
                <c:pt idx="24">
                  <c:v>1290.6041666666667</c:v>
                </c:pt>
                <c:pt idx="25">
                  <c:v>1342.2283333333335</c:v>
                </c:pt>
                <c:pt idx="26">
                  <c:v>1393.8525</c:v>
                </c:pt>
                <c:pt idx="27">
                  <c:v>1445.4766666666667</c:v>
                </c:pt>
                <c:pt idx="28">
                  <c:v>1497.1008333333334</c:v>
                </c:pt>
                <c:pt idx="29">
                  <c:v>1548.7249999999999</c:v>
                </c:pt>
                <c:pt idx="30">
                  <c:v>1600.3491666666666</c:v>
                </c:pt>
                <c:pt idx="31">
                  <c:v>1651.9733333333334</c:v>
                </c:pt>
                <c:pt idx="32">
                  <c:v>1703.5975000000001</c:v>
                </c:pt>
                <c:pt idx="33">
                  <c:v>1755.2216666666668</c:v>
                </c:pt>
                <c:pt idx="34">
                  <c:v>1806.8458333333333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3-7744-BDDF-00E3224D50C4}"/>
            </c:ext>
          </c:extLst>
        </c:ser>
        <c:ser>
          <c:idx val="2"/>
          <c:order val="1"/>
          <c:tx>
            <c:v>blabla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'grafiek berekening'!$C$4:$C$38</c:f>
              <c:numCache>
                <c:formatCode>_("€"* #,##0.00_);_("€"* \(#,##0.00\);_("€"* "-"??_);_(@_)</c:formatCode>
                <c:ptCount val="35"/>
                <c:pt idx="0">
                  <c:v>1948.3758333333333</c:v>
                </c:pt>
                <c:pt idx="1">
                  <c:v>1896.7516666666666</c:v>
                </c:pt>
                <c:pt idx="2">
                  <c:v>1845.1275000000001</c:v>
                </c:pt>
                <c:pt idx="3">
                  <c:v>1793.5033333333333</c:v>
                </c:pt>
                <c:pt idx="4">
                  <c:v>1741.8791666666666</c:v>
                </c:pt>
                <c:pt idx="5">
                  <c:v>1690.2550000000001</c:v>
                </c:pt>
                <c:pt idx="6">
                  <c:v>1638.6308333333334</c:v>
                </c:pt>
                <c:pt idx="7">
                  <c:v>1587.0066666666667</c:v>
                </c:pt>
                <c:pt idx="8">
                  <c:v>1535.3824999999999</c:v>
                </c:pt>
                <c:pt idx="9">
                  <c:v>1483.7583333333332</c:v>
                </c:pt>
                <c:pt idx="10">
                  <c:v>1432.1341666666667</c:v>
                </c:pt>
                <c:pt idx="11">
                  <c:v>1380.51</c:v>
                </c:pt>
                <c:pt idx="12">
                  <c:v>1328.8858333333333</c:v>
                </c:pt>
                <c:pt idx="13">
                  <c:v>1277.2616666666668</c:v>
                </c:pt>
                <c:pt idx="14">
                  <c:v>1225.6375</c:v>
                </c:pt>
                <c:pt idx="15">
                  <c:v>1174.0133333333333</c:v>
                </c:pt>
                <c:pt idx="16">
                  <c:v>1122.3891666666666</c:v>
                </c:pt>
                <c:pt idx="17">
                  <c:v>1070.7649999999999</c:v>
                </c:pt>
                <c:pt idx="18">
                  <c:v>1019.1408333333334</c:v>
                </c:pt>
                <c:pt idx="19">
                  <c:v>967.51666666666665</c:v>
                </c:pt>
                <c:pt idx="20">
                  <c:v>915.89249999999993</c:v>
                </c:pt>
                <c:pt idx="21">
                  <c:v>864.26833333333343</c:v>
                </c:pt>
                <c:pt idx="22">
                  <c:v>812.64416666666671</c:v>
                </c:pt>
                <c:pt idx="23">
                  <c:v>761.02</c:v>
                </c:pt>
                <c:pt idx="24">
                  <c:v>709.39583333333326</c:v>
                </c:pt>
                <c:pt idx="25">
                  <c:v>657.77166666666653</c:v>
                </c:pt>
                <c:pt idx="26">
                  <c:v>606.14750000000004</c:v>
                </c:pt>
                <c:pt idx="27">
                  <c:v>554.52333333333331</c:v>
                </c:pt>
                <c:pt idx="28">
                  <c:v>502.89916666666659</c:v>
                </c:pt>
                <c:pt idx="29">
                  <c:v>451.27500000000009</c:v>
                </c:pt>
                <c:pt idx="30">
                  <c:v>399.65083333333337</c:v>
                </c:pt>
                <c:pt idx="31">
                  <c:v>348.02666666666664</c:v>
                </c:pt>
                <c:pt idx="32">
                  <c:v>296.40249999999992</c:v>
                </c:pt>
                <c:pt idx="33">
                  <c:v>244.77833333333319</c:v>
                </c:pt>
                <c:pt idx="34">
                  <c:v>193.1541666666667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3-7744-BDDF-00E3224D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2138031"/>
        <c:axId val="1494365151"/>
      </c:barChart>
      <c:catAx>
        <c:axId val="15721380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94365151"/>
        <c:crosses val="autoZero"/>
        <c:auto val="1"/>
        <c:lblAlgn val="ctr"/>
        <c:lblOffset val="100"/>
        <c:noMultiLvlLbl val="0"/>
      </c:catAx>
      <c:valAx>
        <c:axId val="149436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213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1406908</xdr:colOff>
      <xdr:row>1</xdr:row>
      <xdr:rowOff>55928</xdr:rowOff>
    </xdr:from>
    <xdr:to>
      <xdr:col>0</xdr:col>
      <xdr:colOff>4177881</xdr:colOff>
      <xdr:row>2</xdr:row>
      <xdr:rowOff>295731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99010CF-E881-9540-BE02-B9CF66E30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008" y="386128"/>
          <a:ext cx="2770973" cy="570003"/>
        </a:xfrm>
        <a:prstGeom prst="rect">
          <a:avLst/>
        </a:prstGeom>
      </xdr:spPr>
    </xdr:pic>
    <xdr:clientData/>
  </xdr:twoCellAnchor>
  <xdr:oneCellAnchor>
    <xdr:from>
      <xdr:col>3</xdr:col>
      <xdr:colOff>1406908</xdr:colOff>
      <xdr:row>1</xdr:row>
      <xdr:rowOff>55928</xdr:rowOff>
    </xdr:from>
    <xdr:ext cx="2770973" cy="570003"/>
    <xdr:pic>
      <xdr:nvPicPr>
        <xdr:cNvPr id="6" name="Afbeelding 5">
          <a:extLst>
            <a:ext uri="{FF2B5EF4-FFF2-40B4-BE49-F238E27FC236}">
              <a16:creationId xmlns:a16="http://schemas.microsoft.com/office/drawing/2014/main" id="{1529FEE5-CD06-044A-830E-9532AD1AE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908" y="386128"/>
          <a:ext cx="2770973" cy="570003"/>
        </a:xfrm>
        <a:prstGeom prst="rect">
          <a:avLst/>
        </a:prstGeom>
      </xdr:spPr>
    </xdr:pic>
    <xdr:clientData/>
  </xdr:oneCellAnchor>
  <xdr:twoCellAnchor>
    <xdr:from>
      <xdr:col>2</xdr:col>
      <xdr:colOff>292100</xdr:colOff>
      <xdr:row>6</xdr:row>
      <xdr:rowOff>88900</xdr:rowOff>
    </xdr:from>
    <xdr:to>
      <xdr:col>4</xdr:col>
      <xdr:colOff>1587500</xdr:colOff>
      <xdr:row>28</xdr:row>
      <xdr:rowOff>88900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1CDAEC5F-F9C1-AC49-9C33-B6D60703E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FB8E-4AE6-A941-8FB9-6C6EDAC1A119}">
  <sheetPr>
    <pageSetUpPr fitToPage="1"/>
  </sheetPr>
  <dimension ref="A1:E44"/>
  <sheetViews>
    <sheetView tabSelected="1" view="pageLayout" zoomScaleNormal="91" workbookViewId="0">
      <selection activeCell="A43" sqref="A43:B44"/>
    </sheetView>
  </sheetViews>
  <sheetFormatPr baseColWidth="10" defaultRowHeight="16" x14ac:dyDescent="0.2"/>
  <cols>
    <col min="1" max="1" width="59.83203125" style="1" customWidth="1"/>
    <col min="2" max="2" width="21.5" style="1" customWidth="1"/>
    <col min="3" max="3" width="11" style="1" customWidth="1"/>
    <col min="4" max="4" width="53.5" style="1" customWidth="1"/>
    <col min="5" max="5" width="23" style="1" customWidth="1"/>
    <col min="6" max="16384" width="10.83203125" style="1"/>
  </cols>
  <sheetData>
    <row r="1" spans="1:5" ht="26" x14ac:dyDescent="0.3">
      <c r="A1" s="57" t="s">
        <v>47</v>
      </c>
      <c r="B1" s="57"/>
      <c r="D1" s="57" t="s">
        <v>47</v>
      </c>
      <c r="E1" s="57"/>
    </row>
    <row r="2" spans="1:5" ht="26" x14ac:dyDescent="0.3">
      <c r="A2" s="10"/>
      <c r="D2" s="10"/>
    </row>
    <row r="3" spans="1:5" ht="26" x14ac:dyDescent="0.3">
      <c r="A3" s="10"/>
      <c r="D3" s="10"/>
    </row>
    <row r="4" spans="1:5" ht="11" customHeight="1" x14ac:dyDescent="0.3">
      <c r="A4" s="10"/>
    </row>
    <row r="5" spans="1:5" ht="23" customHeight="1" x14ac:dyDescent="0.2">
      <c r="A5" s="64" t="s">
        <v>27</v>
      </c>
      <c r="B5" s="64"/>
    </row>
    <row r="6" spans="1:5" ht="11" customHeight="1" thickBot="1" x14ac:dyDescent="0.35">
      <c r="A6" s="10"/>
    </row>
    <row r="7" spans="1:5" ht="29" customHeight="1" x14ac:dyDescent="0.25">
      <c r="A7" s="59" t="s">
        <v>10</v>
      </c>
      <c r="B7" s="60"/>
      <c r="D7" s="12"/>
    </row>
    <row r="8" spans="1:5" x14ac:dyDescent="0.2">
      <c r="A8" s="32" t="s">
        <v>40</v>
      </c>
      <c r="B8" s="43">
        <v>0.19</v>
      </c>
      <c r="C8" s="5"/>
      <c r="E8" s="13"/>
    </row>
    <row r="9" spans="1:5" x14ac:dyDescent="0.2">
      <c r="A9" s="32" t="s">
        <v>41</v>
      </c>
      <c r="B9" s="52"/>
      <c r="C9" s="5"/>
      <c r="E9" s="13"/>
    </row>
    <row r="10" spans="1:5" x14ac:dyDescent="0.2">
      <c r="A10" s="33"/>
      <c r="B10" s="3"/>
      <c r="E10" s="13"/>
    </row>
    <row r="11" spans="1:5" ht="16" customHeight="1" x14ac:dyDescent="0.2">
      <c r="A11" s="34" t="s">
        <v>8</v>
      </c>
      <c r="B11" s="44">
        <v>10</v>
      </c>
      <c r="E11" s="13"/>
    </row>
    <row r="12" spans="1:5" x14ac:dyDescent="0.2">
      <c r="A12" s="35"/>
      <c r="B12" s="3"/>
      <c r="E12" s="13"/>
    </row>
    <row r="13" spans="1:5" x14ac:dyDescent="0.2">
      <c r="A13" s="35" t="s">
        <v>6</v>
      </c>
      <c r="B13" s="45">
        <v>5</v>
      </c>
      <c r="E13" s="13"/>
    </row>
    <row r="14" spans="1:5" x14ac:dyDescent="0.2">
      <c r="A14" s="35"/>
      <c r="B14" s="3"/>
      <c r="E14" s="13"/>
    </row>
    <row r="15" spans="1:5" x14ac:dyDescent="0.2">
      <c r="A15" s="35" t="s">
        <v>36</v>
      </c>
      <c r="B15" s="45">
        <v>5</v>
      </c>
      <c r="E15" s="13"/>
    </row>
    <row r="16" spans="1:5" x14ac:dyDescent="0.2">
      <c r="A16" s="35"/>
      <c r="B16" s="3"/>
      <c r="E16" s="13"/>
    </row>
    <row r="17" spans="1:5" x14ac:dyDescent="0.2">
      <c r="A17" s="53" t="s">
        <v>28</v>
      </c>
      <c r="B17" s="50" t="s">
        <v>29</v>
      </c>
      <c r="E17" s="13"/>
    </row>
    <row r="18" spans="1:5" x14ac:dyDescent="0.2">
      <c r="A18" s="53" t="s">
        <v>9</v>
      </c>
      <c r="B18" s="48">
        <f>((214/5)*B13/12)</f>
        <v>17.833333333333332</v>
      </c>
      <c r="E18" s="13"/>
    </row>
    <row r="19" spans="1:5" x14ac:dyDescent="0.2">
      <c r="A19" s="36"/>
      <c r="B19" s="54">
        <f>((214/5)*B15/12)</f>
        <v>17.833333333333332</v>
      </c>
      <c r="E19" s="13"/>
    </row>
    <row r="20" spans="1:5" ht="20" thickBot="1" x14ac:dyDescent="0.4">
      <c r="A20" s="37" t="s">
        <v>42</v>
      </c>
      <c r="B20" s="11">
        <f>(B8*(B11*2))*B18</f>
        <v>67.766666666666666</v>
      </c>
      <c r="E20" s="13"/>
    </row>
    <row r="21" spans="1:5" ht="30" customHeight="1" thickBot="1" x14ac:dyDescent="0.25">
      <c r="A21" s="6"/>
      <c r="B21" s="5"/>
      <c r="E21" s="13"/>
    </row>
    <row r="22" spans="1:5" ht="21" x14ac:dyDescent="0.25">
      <c r="A22" s="61" t="s">
        <v>11</v>
      </c>
      <c r="B22" s="62"/>
      <c r="E22" s="13"/>
    </row>
    <row r="23" spans="1:5" x14ac:dyDescent="0.2">
      <c r="A23" s="29" t="s">
        <v>18</v>
      </c>
      <c r="B23" s="46">
        <v>2000</v>
      </c>
      <c r="E23" s="13"/>
    </row>
    <row r="24" spans="1:5" ht="10" customHeight="1" x14ac:dyDescent="0.2">
      <c r="A24" s="29"/>
      <c r="B24" s="19"/>
      <c r="E24" s="13"/>
    </row>
    <row r="25" spans="1:5" ht="22" customHeight="1" x14ac:dyDescent="0.2">
      <c r="A25" s="30" t="s">
        <v>14</v>
      </c>
      <c r="B25" s="47">
        <v>0.3735</v>
      </c>
      <c r="C25" s="5"/>
      <c r="E25" s="13"/>
    </row>
    <row r="26" spans="1:5" ht="19" customHeight="1" x14ac:dyDescent="0.2">
      <c r="A26" s="29" t="s">
        <v>4</v>
      </c>
      <c r="B26" s="20">
        <f>(B23*B25)*0.07</f>
        <v>52.290000000000006</v>
      </c>
      <c r="C26" s="5"/>
      <c r="E26" s="13"/>
    </row>
    <row r="27" spans="1:5" ht="6" customHeight="1" x14ac:dyDescent="0.2">
      <c r="A27" s="29"/>
      <c r="B27" s="21"/>
      <c r="C27" s="5"/>
      <c r="E27" s="13"/>
    </row>
    <row r="28" spans="1:5" ht="18" customHeight="1" thickBot="1" x14ac:dyDescent="0.25">
      <c r="A28" s="31" t="s">
        <v>5</v>
      </c>
      <c r="B28" s="22">
        <f>B26/12</f>
        <v>4.3575000000000008</v>
      </c>
      <c r="E28" s="13"/>
    </row>
    <row r="29" spans="1:5" ht="14" customHeight="1" x14ac:dyDescent="0.35">
      <c r="A29" s="6"/>
      <c r="B29" s="15"/>
      <c r="E29" s="13"/>
    </row>
    <row r="30" spans="1:5" x14ac:dyDescent="0.2">
      <c r="A30" s="63" t="s">
        <v>0</v>
      </c>
      <c r="B30" s="63"/>
      <c r="D30" s="14"/>
      <c r="E30" s="13"/>
    </row>
    <row r="31" spans="1:5" x14ac:dyDescent="0.2">
      <c r="A31" s="23" t="s">
        <v>1</v>
      </c>
      <c r="B31" s="23" t="s">
        <v>2</v>
      </c>
      <c r="E31" s="13"/>
    </row>
    <row r="32" spans="1:5" x14ac:dyDescent="0.2">
      <c r="A32" s="18" t="s">
        <v>15</v>
      </c>
      <c r="B32" s="16">
        <v>0.3735</v>
      </c>
      <c r="D32" s="14"/>
      <c r="E32" s="13"/>
    </row>
    <row r="33" spans="1:5" ht="18" customHeight="1" x14ac:dyDescent="0.2">
      <c r="A33" s="18" t="s">
        <v>3</v>
      </c>
      <c r="B33" s="16">
        <v>0.495</v>
      </c>
      <c r="E33" s="13"/>
    </row>
    <row r="34" spans="1:5" ht="13" customHeight="1" thickBot="1" x14ac:dyDescent="0.25">
      <c r="D34" s="12"/>
      <c r="E34" s="13"/>
    </row>
    <row r="35" spans="1:5" ht="28" customHeight="1" x14ac:dyDescent="0.25">
      <c r="A35" s="59" t="s">
        <v>13</v>
      </c>
      <c r="B35" s="60"/>
      <c r="D35" s="56" t="s">
        <v>21</v>
      </c>
      <c r="E35" s="38"/>
    </row>
    <row r="36" spans="1:5" ht="26" customHeight="1" x14ac:dyDescent="0.2">
      <c r="A36" s="24" t="s">
        <v>25</v>
      </c>
      <c r="B36" s="25">
        <f>B23</f>
        <v>2000</v>
      </c>
      <c r="D36" s="2" t="s">
        <v>26</v>
      </c>
      <c r="E36" s="39">
        <f>B8</f>
        <v>0.19</v>
      </c>
    </row>
    <row r="37" spans="1:5" ht="42" customHeight="1" x14ac:dyDescent="0.2">
      <c r="A37" s="24" t="s">
        <v>44</v>
      </c>
      <c r="B37" s="25">
        <f>B28</f>
        <v>4.3575000000000008</v>
      </c>
      <c r="C37" s="5"/>
      <c r="D37" s="2" t="s">
        <v>22</v>
      </c>
      <c r="E37" s="40">
        <f>B11</f>
        <v>10</v>
      </c>
    </row>
    <row r="38" spans="1:5" ht="42" customHeight="1" x14ac:dyDescent="0.2">
      <c r="A38" s="26" t="s">
        <v>46</v>
      </c>
      <c r="B38" s="25">
        <f>B20</f>
        <v>67.766666666666666</v>
      </c>
      <c r="C38" s="5"/>
      <c r="D38" s="2" t="s">
        <v>23</v>
      </c>
      <c r="E38" s="48">
        <f>B13</f>
        <v>5</v>
      </c>
    </row>
    <row r="39" spans="1:5" ht="42" customHeight="1" x14ac:dyDescent="0.2">
      <c r="A39" s="26" t="s">
        <v>45</v>
      </c>
      <c r="B39" s="25">
        <f>(B8*(B11*2))*B19</f>
        <v>67.766666666666666</v>
      </c>
      <c r="C39" s="5"/>
      <c r="D39" s="2" t="s">
        <v>37</v>
      </c>
      <c r="E39" s="48">
        <f>B15</f>
        <v>5</v>
      </c>
    </row>
    <row r="40" spans="1:5" ht="40" customHeight="1" x14ac:dyDescent="0.2">
      <c r="A40" s="26" t="s">
        <v>43</v>
      </c>
      <c r="B40" s="25">
        <f>VLOOKUP('Berekening investering lease'!B17,'grafiek berekening'!F3:I5,4,FALSE)</f>
        <v>20.5</v>
      </c>
      <c r="C40" s="5"/>
      <c r="D40" s="2" t="s">
        <v>39</v>
      </c>
      <c r="E40" s="48">
        <f>B18</f>
        <v>17.833333333333332</v>
      </c>
    </row>
    <row r="41" spans="1:5" ht="17" x14ac:dyDescent="0.2">
      <c r="A41" s="27" t="s">
        <v>16</v>
      </c>
      <c r="B41" s="51">
        <f>B39+B37-B40</f>
        <v>51.624166666666667</v>
      </c>
      <c r="C41" s="5"/>
      <c r="D41" s="2"/>
      <c r="E41" s="39"/>
    </row>
    <row r="42" spans="1:5" ht="32" customHeight="1" thickBot="1" x14ac:dyDescent="0.25">
      <c r="A42" s="28" t="s">
        <v>12</v>
      </c>
      <c r="B42" s="55">
        <f>B36/B41</f>
        <v>38.741545464817833</v>
      </c>
      <c r="C42" s="9"/>
      <c r="D42" s="2" t="s">
        <v>24</v>
      </c>
      <c r="E42" s="41">
        <f>B25</f>
        <v>0.3735</v>
      </c>
    </row>
    <row r="43" spans="1:5" ht="32" customHeight="1" x14ac:dyDescent="0.2">
      <c r="A43" s="58" t="s">
        <v>38</v>
      </c>
      <c r="B43" s="58"/>
      <c r="C43" s="17"/>
      <c r="D43" s="2" t="s">
        <v>25</v>
      </c>
      <c r="E43" s="39">
        <f>B36</f>
        <v>2000</v>
      </c>
    </row>
    <row r="44" spans="1:5" ht="11" customHeight="1" thickBot="1" x14ac:dyDescent="0.25">
      <c r="A44" s="58"/>
      <c r="B44" s="58"/>
      <c r="D44" s="4"/>
      <c r="E44" s="42"/>
    </row>
  </sheetData>
  <mergeCells count="8">
    <mergeCell ref="D1:E1"/>
    <mergeCell ref="A43:B44"/>
    <mergeCell ref="A1:B1"/>
    <mergeCell ref="A7:B7"/>
    <mergeCell ref="A22:B22"/>
    <mergeCell ref="A35:B35"/>
    <mergeCell ref="A30:B30"/>
    <mergeCell ref="A5:B5"/>
  </mergeCells>
  <dataValidations count="3">
    <dataValidation type="list" allowBlank="1" showInputMessage="1" showErrorMessage="1" sqref="B13 B15" xr:uid="{C6321408-7F45-244F-BBC6-75D3AF5F64D9}">
      <formula1>"1,2,3,4,5"</formula1>
    </dataValidation>
    <dataValidation type="list" allowBlank="1" showInputMessage="1" showErrorMessage="1" sqref="B25" xr:uid="{EDE5B8B0-CA1B-FF48-A950-265DDF9A6A60}">
      <mc:AlternateContent xmlns:x12ac="http://schemas.microsoft.com/office/spreadsheetml/2011/1/ac" xmlns:mc="http://schemas.openxmlformats.org/markup-compatibility/2006">
        <mc:Choice Requires="x12ac">
          <x12ac:list>"0,3735"," 0,4950"</x12ac:list>
        </mc:Choice>
        <mc:Fallback>
          <formula1>"0,3735, 0,4950"</formula1>
        </mc:Fallback>
      </mc:AlternateContent>
    </dataValidation>
    <dataValidation type="list" allowBlank="1" showInputMessage="1" showErrorMessage="1" sqref="B17" xr:uid="{6BA8DEEA-96F1-E94C-9C2F-A56C9E3D8545}">
      <formula1>"gewone fiets,e-bike,speedpedelec"</formula1>
    </dataValidation>
  </dataValidations>
  <printOptions horizontalCentered="1"/>
  <pageMargins left="0.45" right="0.45" top="0.5" bottom="0.5" header="0.3" footer="0.3"/>
  <pageSetup paperSize="9" scale="61" pageOrder="overThenDown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577A-F37B-3A49-A045-8EB4E3927120}">
  <dimension ref="A1:I41"/>
  <sheetViews>
    <sheetView workbookViewId="0">
      <selection activeCell="I9" sqref="I9"/>
    </sheetView>
  </sheetViews>
  <sheetFormatPr baseColWidth="10" defaultRowHeight="16" x14ac:dyDescent="0.2"/>
  <cols>
    <col min="1" max="1" width="20.83203125" bestFit="1" customWidth="1"/>
    <col min="3" max="3" width="12.33203125" customWidth="1"/>
    <col min="6" max="6" width="13.83203125" customWidth="1"/>
    <col min="7" max="8" width="10.83203125" customWidth="1"/>
  </cols>
  <sheetData>
    <row r="1" spans="1:9" x14ac:dyDescent="0.2">
      <c r="A1" t="s">
        <v>17</v>
      </c>
      <c r="B1">
        <f>'Berekening investering lease'!B41</f>
        <v>51.624166666666667</v>
      </c>
      <c r="F1" t="str">
        <f>'Berekening investering lease'!B17</f>
        <v>e-bike</v>
      </c>
    </row>
    <row r="2" spans="1:9" ht="17" x14ac:dyDescent="0.2">
      <c r="A2" s="12" t="s">
        <v>7</v>
      </c>
      <c r="B2" s="1" t="s">
        <v>19</v>
      </c>
      <c r="C2" t="s">
        <v>20</v>
      </c>
      <c r="F2" t="s">
        <v>30</v>
      </c>
      <c r="G2" t="s">
        <v>31</v>
      </c>
      <c r="H2" t="s">
        <v>32</v>
      </c>
      <c r="I2" t="s">
        <v>35</v>
      </c>
    </row>
    <row r="3" spans="1:9" x14ac:dyDescent="0.2">
      <c r="A3" s="12">
        <v>1</v>
      </c>
      <c r="B3" s="1">
        <v>0</v>
      </c>
      <c r="C3" s="7">
        <f>'Berekening investering lease'!B23</f>
        <v>2000</v>
      </c>
      <c r="F3" t="s">
        <v>33</v>
      </c>
      <c r="G3" s="49">
        <f>100/12</f>
        <v>8.3333333333333339</v>
      </c>
      <c r="H3">
        <v>6</v>
      </c>
      <c r="I3" s="7">
        <f>G3+H3</f>
        <v>14.333333333333334</v>
      </c>
    </row>
    <row r="4" spans="1:9" x14ac:dyDescent="0.2">
      <c r="A4" s="1">
        <v>1</v>
      </c>
      <c r="B4" s="13">
        <f>(IF(A4*$B$1&gt;$C$3,0,A4*$B$1))</f>
        <v>51.624166666666667</v>
      </c>
      <c r="C4" s="8">
        <f>IF(B4=0,0,$C$3-B4)</f>
        <v>1948.3758333333333</v>
      </c>
      <c r="F4" t="s">
        <v>29</v>
      </c>
      <c r="G4">
        <f>150/12</f>
        <v>12.5</v>
      </c>
      <c r="H4">
        <v>8</v>
      </c>
      <c r="I4" s="7">
        <f t="shared" ref="I4:I5" si="0">G4+H4</f>
        <v>20.5</v>
      </c>
    </row>
    <row r="5" spans="1:9" x14ac:dyDescent="0.2">
      <c r="A5" s="1">
        <v>2</v>
      </c>
      <c r="B5" s="13">
        <f t="shared" ref="B5:B21" si="1">(IF(A5*$B$1&gt;$C$3,0,A5*$B$1))</f>
        <v>103.24833333333333</v>
      </c>
      <c r="C5" s="8">
        <f t="shared" ref="C5:C38" si="2">IF(B5=0,0,$C$3-B5)</f>
        <v>1896.7516666666666</v>
      </c>
      <c r="F5" t="s">
        <v>34</v>
      </c>
      <c r="G5">
        <f>150/12</f>
        <v>12.5</v>
      </c>
      <c r="H5">
        <v>35</v>
      </c>
      <c r="I5" s="7">
        <f t="shared" si="0"/>
        <v>47.5</v>
      </c>
    </row>
    <row r="6" spans="1:9" x14ac:dyDescent="0.2">
      <c r="A6" s="1">
        <v>3</v>
      </c>
      <c r="B6" s="13">
        <f t="shared" si="1"/>
        <v>154.8725</v>
      </c>
      <c r="C6" s="8">
        <f t="shared" si="2"/>
        <v>1845.1275000000001</v>
      </c>
    </row>
    <row r="7" spans="1:9" x14ac:dyDescent="0.2">
      <c r="A7" s="1">
        <v>4</v>
      </c>
      <c r="B7" s="13">
        <f t="shared" si="1"/>
        <v>206.49666666666667</v>
      </c>
      <c r="C7" s="8">
        <f t="shared" si="2"/>
        <v>1793.5033333333333</v>
      </c>
      <c r="F7">
        <f>VLOOKUP(F1,F3:I5,2,FALSE)</f>
        <v>12.5</v>
      </c>
    </row>
    <row r="8" spans="1:9" x14ac:dyDescent="0.2">
      <c r="A8" s="1">
        <v>5</v>
      </c>
      <c r="B8" s="13">
        <f t="shared" si="1"/>
        <v>258.12083333333334</v>
      </c>
      <c r="C8" s="8">
        <f t="shared" si="2"/>
        <v>1741.8791666666666</v>
      </c>
    </row>
    <row r="9" spans="1:9" x14ac:dyDescent="0.2">
      <c r="A9" s="1">
        <v>6</v>
      </c>
      <c r="B9" s="13">
        <f t="shared" si="1"/>
        <v>309.745</v>
      </c>
      <c r="C9" s="8">
        <f t="shared" si="2"/>
        <v>1690.2550000000001</v>
      </c>
    </row>
    <row r="10" spans="1:9" x14ac:dyDescent="0.2">
      <c r="A10" s="1">
        <v>7</v>
      </c>
      <c r="B10" s="13">
        <f t="shared" si="1"/>
        <v>361.36916666666667</v>
      </c>
      <c r="C10" s="8">
        <f t="shared" si="2"/>
        <v>1638.6308333333334</v>
      </c>
    </row>
    <row r="11" spans="1:9" x14ac:dyDescent="0.2">
      <c r="A11" s="1">
        <v>8</v>
      </c>
      <c r="B11" s="13">
        <f t="shared" si="1"/>
        <v>412.99333333333334</v>
      </c>
      <c r="C11" s="8">
        <f t="shared" si="2"/>
        <v>1587.0066666666667</v>
      </c>
    </row>
    <row r="12" spans="1:9" x14ac:dyDescent="0.2">
      <c r="A12" s="1">
        <v>9</v>
      </c>
      <c r="B12" s="13">
        <f t="shared" si="1"/>
        <v>464.61750000000001</v>
      </c>
      <c r="C12" s="8">
        <f t="shared" si="2"/>
        <v>1535.3824999999999</v>
      </c>
    </row>
    <row r="13" spans="1:9" x14ac:dyDescent="0.2">
      <c r="A13" s="1">
        <v>10</v>
      </c>
      <c r="B13" s="13">
        <f>(IF(A13*$B$1&gt;$C$3,0,A13*$B$1))</f>
        <v>516.24166666666667</v>
      </c>
      <c r="C13" s="8">
        <f t="shared" si="2"/>
        <v>1483.7583333333332</v>
      </c>
    </row>
    <row r="14" spans="1:9" x14ac:dyDescent="0.2">
      <c r="A14" s="1">
        <v>11</v>
      </c>
      <c r="B14" s="13">
        <f t="shared" si="1"/>
        <v>567.86583333333328</v>
      </c>
      <c r="C14" s="8">
        <f>IF(B14=0,0,$C$3-B14)</f>
        <v>1432.1341666666667</v>
      </c>
    </row>
    <row r="15" spans="1:9" x14ac:dyDescent="0.2">
      <c r="A15" s="1">
        <v>12</v>
      </c>
      <c r="B15" s="13">
        <f t="shared" si="1"/>
        <v>619.49</v>
      </c>
      <c r="C15" s="8">
        <f t="shared" si="2"/>
        <v>1380.51</v>
      </c>
    </row>
    <row r="16" spans="1:9" x14ac:dyDescent="0.2">
      <c r="A16" s="1">
        <v>13</v>
      </c>
      <c r="B16" s="13">
        <f t="shared" si="1"/>
        <v>671.11416666666673</v>
      </c>
      <c r="C16" s="8">
        <f t="shared" si="2"/>
        <v>1328.8858333333333</v>
      </c>
    </row>
    <row r="17" spans="1:3" x14ac:dyDescent="0.2">
      <c r="A17" s="1">
        <v>14</v>
      </c>
      <c r="B17" s="13">
        <f t="shared" si="1"/>
        <v>722.73833333333334</v>
      </c>
      <c r="C17" s="8">
        <f t="shared" si="2"/>
        <v>1277.2616666666668</v>
      </c>
    </row>
    <row r="18" spans="1:3" x14ac:dyDescent="0.2">
      <c r="A18" s="1">
        <v>15</v>
      </c>
      <c r="B18" s="13">
        <f t="shared" si="1"/>
        <v>774.36249999999995</v>
      </c>
      <c r="C18" s="8">
        <f t="shared" si="2"/>
        <v>1225.6375</v>
      </c>
    </row>
    <row r="19" spans="1:3" x14ac:dyDescent="0.2">
      <c r="A19" s="1">
        <v>16</v>
      </c>
      <c r="B19" s="13">
        <f t="shared" si="1"/>
        <v>825.98666666666668</v>
      </c>
      <c r="C19" s="8">
        <f t="shared" si="2"/>
        <v>1174.0133333333333</v>
      </c>
    </row>
    <row r="20" spans="1:3" x14ac:dyDescent="0.2">
      <c r="A20" s="1">
        <v>17</v>
      </c>
      <c r="B20" s="13">
        <f t="shared" si="1"/>
        <v>877.6108333333334</v>
      </c>
      <c r="C20" s="8">
        <f t="shared" si="2"/>
        <v>1122.3891666666666</v>
      </c>
    </row>
    <row r="21" spans="1:3" x14ac:dyDescent="0.2">
      <c r="A21" s="1">
        <v>18</v>
      </c>
      <c r="B21" s="13">
        <f t="shared" si="1"/>
        <v>929.23500000000001</v>
      </c>
      <c r="C21" s="8">
        <f t="shared" si="2"/>
        <v>1070.7649999999999</v>
      </c>
    </row>
    <row r="22" spans="1:3" x14ac:dyDescent="0.2">
      <c r="A22" s="14">
        <v>19</v>
      </c>
      <c r="B22" s="13">
        <f>(IF(A22*$B$1&gt;$C$3,0,A22*$B$1))</f>
        <v>980.85916666666662</v>
      </c>
      <c r="C22" s="8">
        <f t="shared" si="2"/>
        <v>1019.1408333333334</v>
      </c>
    </row>
    <row r="23" spans="1:3" x14ac:dyDescent="0.2">
      <c r="A23" s="1">
        <v>20</v>
      </c>
      <c r="B23" s="13">
        <f>(IF(A23*$B$1&gt;$C$3,0,A23*$B$1))</f>
        <v>1032.4833333333333</v>
      </c>
      <c r="C23" s="8">
        <f>IF(B23=0,0,$C$3-B23)</f>
        <v>967.51666666666665</v>
      </c>
    </row>
    <row r="24" spans="1:3" x14ac:dyDescent="0.2">
      <c r="A24" s="14">
        <v>21</v>
      </c>
      <c r="B24" s="13">
        <f>(IF(A24*$B$1&gt;$C$3,0,A24*$B$1))</f>
        <v>1084.1075000000001</v>
      </c>
      <c r="C24" s="8">
        <f t="shared" si="2"/>
        <v>915.89249999999993</v>
      </c>
    </row>
    <row r="25" spans="1:3" x14ac:dyDescent="0.2">
      <c r="A25" s="1">
        <v>22</v>
      </c>
      <c r="B25" s="13">
        <f t="shared" ref="B25:B32" si="3">(IF(A25*$B$1&gt;$C$3,0,A25*$B$1))</f>
        <v>1135.7316666666666</v>
      </c>
      <c r="C25" s="8">
        <f t="shared" si="2"/>
        <v>864.26833333333343</v>
      </c>
    </row>
    <row r="26" spans="1:3" x14ac:dyDescent="0.2">
      <c r="A26" s="1">
        <v>23</v>
      </c>
      <c r="B26" s="13">
        <f t="shared" si="3"/>
        <v>1187.3558333333333</v>
      </c>
      <c r="C26" s="8">
        <f>IF(B26=0,0,$C$3-B26)</f>
        <v>812.64416666666671</v>
      </c>
    </row>
    <row r="27" spans="1:3" x14ac:dyDescent="0.2">
      <c r="A27" s="1">
        <v>24</v>
      </c>
      <c r="B27" s="13">
        <f t="shared" si="3"/>
        <v>1238.98</v>
      </c>
      <c r="C27" s="8">
        <f t="shared" si="2"/>
        <v>761.02</v>
      </c>
    </row>
    <row r="28" spans="1:3" x14ac:dyDescent="0.2">
      <c r="A28" s="1">
        <v>25</v>
      </c>
      <c r="B28" s="13">
        <f t="shared" si="3"/>
        <v>1290.6041666666667</v>
      </c>
      <c r="C28" s="8">
        <f t="shared" si="2"/>
        <v>709.39583333333326</v>
      </c>
    </row>
    <row r="29" spans="1:3" x14ac:dyDescent="0.2">
      <c r="A29" s="1">
        <v>26</v>
      </c>
      <c r="B29" s="13">
        <f t="shared" si="3"/>
        <v>1342.2283333333335</v>
      </c>
      <c r="C29" s="8">
        <f t="shared" si="2"/>
        <v>657.77166666666653</v>
      </c>
    </row>
    <row r="30" spans="1:3" x14ac:dyDescent="0.2">
      <c r="A30" s="1">
        <v>27</v>
      </c>
      <c r="B30" s="13">
        <f t="shared" si="3"/>
        <v>1393.8525</v>
      </c>
      <c r="C30" s="8">
        <f t="shared" si="2"/>
        <v>606.14750000000004</v>
      </c>
    </row>
    <row r="31" spans="1:3" x14ac:dyDescent="0.2">
      <c r="A31" s="1">
        <v>28</v>
      </c>
      <c r="B31" s="13">
        <f t="shared" si="3"/>
        <v>1445.4766666666667</v>
      </c>
      <c r="C31" s="8">
        <f t="shared" si="2"/>
        <v>554.52333333333331</v>
      </c>
    </row>
    <row r="32" spans="1:3" x14ac:dyDescent="0.2">
      <c r="A32" s="1">
        <v>29</v>
      </c>
      <c r="B32" s="13">
        <f t="shared" si="3"/>
        <v>1497.1008333333334</v>
      </c>
      <c r="C32" s="8">
        <f t="shared" si="2"/>
        <v>502.89916666666659</v>
      </c>
    </row>
    <row r="33" spans="1:3" x14ac:dyDescent="0.2">
      <c r="A33" s="1">
        <v>30</v>
      </c>
      <c r="B33" s="13">
        <f>(IF(A33*$B$1&gt;$C$3,0,A33*$B$1))</f>
        <v>1548.7249999999999</v>
      </c>
      <c r="C33" s="8">
        <f t="shared" si="2"/>
        <v>451.27500000000009</v>
      </c>
    </row>
    <row r="34" spans="1:3" x14ac:dyDescent="0.2">
      <c r="A34" s="1">
        <v>31</v>
      </c>
      <c r="B34" s="13">
        <f t="shared" ref="B34:B38" si="4">(IF(A34*$B$1&gt;$C$3,0,A34*$B$1))</f>
        <v>1600.3491666666666</v>
      </c>
      <c r="C34" s="8">
        <f t="shared" si="2"/>
        <v>399.65083333333337</v>
      </c>
    </row>
    <row r="35" spans="1:3" x14ac:dyDescent="0.2">
      <c r="A35" s="1">
        <v>32</v>
      </c>
      <c r="B35" s="13">
        <f t="shared" si="4"/>
        <v>1651.9733333333334</v>
      </c>
      <c r="C35" s="8">
        <f t="shared" si="2"/>
        <v>348.02666666666664</v>
      </c>
    </row>
    <row r="36" spans="1:3" x14ac:dyDescent="0.2">
      <c r="A36" s="1">
        <v>33</v>
      </c>
      <c r="B36" s="13">
        <f t="shared" si="4"/>
        <v>1703.5975000000001</v>
      </c>
      <c r="C36" s="8">
        <f t="shared" si="2"/>
        <v>296.40249999999992</v>
      </c>
    </row>
    <row r="37" spans="1:3" x14ac:dyDescent="0.2">
      <c r="A37" s="1">
        <v>34</v>
      </c>
      <c r="B37" s="13">
        <f t="shared" si="4"/>
        <v>1755.2216666666668</v>
      </c>
      <c r="C37" s="8">
        <f t="shared" si="2"/>
        <v>244.77833333333319</v>
      </c>
    </row>
    <row r="38" spans="1:3" x14ac:dyDescent="0.2">
      <c r="A38" s="1">
        <v>35</v>
      </c>
      <c r="B38" s="13">
        <f t="shared" si="4"/>
        <v>1806.8458333333333</v>
      </c>
      <c r="C38" s="8">
        <f t="shared" si="2"/>
        <v>193.1541666666667</v>
      </c>
    </row>
    <row r="39" spans="1:3" x14ac:dyDescent="0.2">
      <c r="A39" s="1"/>
      <c r="B39" s="13"/>
      <c r="C39" s="8"/>
    </row>
    <row r="40" spans="1:3" x14ac:dyDescent="0.2">
      <c r="A40" s="1"/>
      <c r="B40" s="13"/>
      <c r="C40" s="8"/>
    </row>
    <row r="41" spans="1:3" x14ac:dyDescent="0.2">
      <c r="A41" s="1"/>
      <c r="B41" s="13"/>
      <c r="C41" s="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 investering lease</vt:lpstr>
      <vt:lpstr>grafiek berekening</vt:lpstr>
      <vt:lpstr>'Berekening investering lease'!Afdrukbereik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2019-09-23T13:18:52Z</dcterms:created>
  <dcterms:modified xsi:type="dcterms:W3CDTF">2021-01-04T12:03:29Z</dcterms:modified>
</cp:coreProperties>
</file>